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560" windowHeight="9270"/>
  </bookViews>
  <sheets>
    <sheet name="Калькуляция" sheetId="1" r:id="rId1"/>
    <sheet name="ШР" sheetId="2" r:id="rId2"/>
    <sheet name="Спец.одежда" sheetId="3" r:id="rId3"/>
  </sheets>
  <externalReferences>
    <externalReference r:id="rId4"/>
  </externalReferences>
  <definedNames>
    <definedName name="_xlnm.Print_Area" localSheetId="0">Калькуляция!$A$1:$F$51</definedName>
  </definedNames>
  <calcPr calcId="145621"/>
</workbook>
</file>

<file path=xl/calcChain.xml><?xml version="1.0" encoding="utf-8"?>
<calcChain xmlns="http://schemas.openxmlformats.org/spreadsheetml/2006/main">
  <c r="F36" i="1" l="1"/>
  <c r="E20" i="1" l="1"/>
  <c r="F20" i="1"/>
  <c r="E26" i="1"/>
  <c r="F22" i="1"/>
  <c r="C21" i="3"/>
  <c r="C16" i="3"/>
  <c r="C13" i="3"/>
  <c r="C18" i="3"/>
  <c r="O18" i="3" s="1"/>
  <c r="C17" i="3"/>
  <c r="O17" i="3" s="1"/>
  <c r="W16" i="3"/>
  <c r="C15" i="3"/>
  <c r="W15" i="3" s="1"/>
  <c r="C14" i="3"/>
  <c r="W14" i="3" s="1"/>
  <c r="O13" i="3"/>
  <c r="C12" i="3"/>
  <c r="C19" i="3" s="1"/>
  <c r="E12" i="3" l="1"/>
  <c r="G12" i="3"/>
  <c r="G19" i="3" s="1"/>
  <c r="G21" i="3" s="1"/>
  <c r="I12" i="3"/>
  <c r="Q12" i="3"/>
  <c r="Q19" i="3" s="1"/>
  <c r="Q21" i="3" s="1"/>
  <c r="S12" i="3"/>
  <c r="U12" i="3"/>
  <c r="W12" i="3"/>
  <c r="W19" i="3" s="1"/>
  <c r="W21" i="3" s="1"/>
  <c r="E13" i="3"/>
  <c r="M13" i="3"/>
  <c r="E14" i="3"/>
  <c r="M14" i="3"/>
  <c r="O14" i="3"/>
  <c r="S14" i="3"/>
  <c r="U14" i="3"/>
  <c r="E15" i="3"/>
  <c r="K15" i="3"/>
  <c r="O15" i="3"/>
  <c r="S15" i="3"/>
  <c r="U15" i="3"/>
  <c r="E16" i="3"/>
  <c r="K16" i="3"/>
  <c r="O16" i="3"/>
  <c r="S16" i="3"/>
  <c r="U16" i="3"/>
  <c r="E17" i="3"/>
  <c r="E18" i="3"/>
  <c r="I18" i="3"/>
  <c r="O19" i="3" l="1"/>
  <c r="O21" i="3" s="1"/>
  <c r="K19" i="3"/>
  <c r="K21" i="3" s="1"/>
  <c r="M19" i="3"/>
  <c r="M21" i="3" s="1"/>
  <c r="U19" i="3"/>
  <c r="U21" i="3" s="1"/>
  <c r="S19" i="3"/>
  <c r="S21" i="3" s="1"/>
  <c r="I19" i="3"/>
  <c r="I21" i="3" s="1"/>
  <c r="E19" i="3"/>
  <c r="E21" i="3" s="1"/>
  <c r="F18" i="1" l="1"/>
  <c r="U22" i="2"/>
  <c r="AD23" i="2"/>
  <c r="J23" i="2"/>
  <c r="X23" i="2" s="1"/>
  <c r="H23" i="2"/>
  <c r="AD22" i="2"/>
  <c r="J22" i="2"/>
  <c r="X22" i="2" s="1"/>
  <c r="H22" i="2"/>
  <c r="T21" i="2"/>
  <c r="U21" i="2" s="1"/>
  <c r="Q22" i="2" l="1"/>
  <c r="Y22" i="2" s="1"/>
  <c r="R22" i="2"/>
  <c r="S22" i="2"/>
  <c r="T22" i="2"/>
  <c r="Q23" i="2"/>
  <c r="Y23" i="2" s="1"/>
  <c r="R23" i="2"/>
  <c r="S23" i="2"/>
  <c r="T23" i="2"/>
  <c r="U23" i="2" s="1"/>
  <c r="F26" i="1" l="1"/>
  <c r="F24" i="1"/>
  <c r="F23" i="1"/>
  <c r="F21" i="1"/>
  <c r="F19" i="1" l="1"/>
  <c r="F28" i="1"/>
  <c r="F29" i="1"/>
  <c r="F31" i="1" s="1"/>
  <c r="F32" i="1" l="1"/>
  <c r="F33" i="1" s="1"/>
  <c r="F34" i="1" l="1"/>
  <c r="F35" i="1" s="1"/>
  <c r="F37" i="1" s="1"/>
</calcChain>
</file>

<file path=xl/comments1.xml><?xml version="1.0" encoding="utf-8"?>
<comments xmlns="http://schemas.openxmlformats.org/spreadsheetml/2006/main">
  <authors>
    <author>FuckYouBill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FuckYouBill: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<sst xmlns="http://schemas.openxmlformats.org/spreadsheetml/2006/main" count="167" uniqueCount="134">
  <si>
    <t>Утверждаю:</t>
  </si>
  <si>
    <t>Директор филиала"Михайловский"</t>
  </si>
  <si>
    <t>КГУП "Примтеплоэнерго"</t>
  </si>
  <si>
    <t>_______________О.Г.Панченко</t>
  </si>
  <si>
    <t xml:space="preserve">                                 Плановая калькуляция стоимости 1м2</t>
  </si>
  <si>
    <t xml:space="preserve">                                 содержания и текущего ремонта жилого фонда</t>
  </si>
  <si>
    <t xml:space="preserve">               </t>
  </si>
  <si>
    <t>№ п/п</t>
  </si>
  <si>
    <t>Статья затрат</t>
  </si>
  <si>
    <t>Ед.измерения</t>
  </si>
  <si>
    <t>Цена за ед., руб.</t>
  </si>
  <si>
    <t>Показатели</t>
  </si>
  <si>
    <t>Затраты в год, тыс.руб.</t>
  </si>
  <si>
    <t>Заработная плата</t>
  </si>
  <si>
    <t>Отчисления на з/плату, 30,2%</t>
  </si>
  <si>
    <t xml:space="preserve">Транспортные расходы </t>
  </si>
  <si>
    <t>маш/час, год</t>
  </si>
  <si>
    <t>Цеховые</t>
  </si>
  <si>
    <t>4.1</t>
  </si>
  <si>
    <t>в том числе спец.одежда</t>
  </si>
  <si>
    <t>4.2</t>
  </si>
  <si>
    <t>медосмотр</t>
  </si>
  <si>
    <t>руб./чел. в год</t>
  </si>
  <si>
    <t>4.3</t>
  </si>
  <si>
    <t>моющие (средства инд.защиты)</t>
  </si>
  <si>
    <t>руб./чел. в мес.</t>
  </si>
  <si>
    <t xml:space="preserve">Текущий ремонт  </t>
  </si>
  <si>
    <t>Вывоз ТБО</t>
  </si>
  <si>
    <t xml:space="preserve">руб./м2 в мес. </t>
  </si>
  <si>
    <t>Затраты по обслуживанию газового оборудования</t>
  </si>
  <si>
    <t>руб,/год</t>
  </si>
  <si>
    <t>Накладные расходы 32%</t>
  </si>
  <si>
    <t>Итого полная себестоимость</t>
  </si>
  <si>
    <t>Общая площадь жилого фонда, м2</t>
  </si>
  <si>
    <t>Себестоимость единицы услуги, руб.за 1м2 в месяц</t>
  </si>
  <si>
    <t>Размер рентабельности 15%,руб.</t>
  </si>
  <si>
    <t>Себестоимость 1м2 жилья с рент.15%руб.</t>
  </si>
  <si>
    <t>НДС 18%, руб.</t>
  </si>
  <si>
    <t>Итого стоимость 1м2, руб.</t>
  </si>
  <si>
    <t>в том числе текущий ремонт</t>
  </si>
  <si>
    <t>руб./мес.</t>
  </si>
  <si>
    <t>содержание жилого фонда</t>
  </si>
  <si>
    <t>Главный экономист</t>
  </si>
  <si>
    <t>З.И.Холманская</t>
  </si>
  <si>
    <t>Исп: Долматова Е.В. (2-50-40)</t>
  </si>
  <si>
    <t>Участок обслуживания  жилого фонда</t>
  </si>
  <si>
    <t>Слесарь аварийно-восстановительных работ</t>
  </si>
  <si>
    <t>Унифицированная форма № Т-3</t>
  </si>
  <si>
    <t>Утверждена постановлением Госкомстата</t>
  </si>
  <si>
    <t>России от 06.04.2001 № 26</t>
  </si>
  <si>
    <t>Код</t>
  </si>
  <si>
    <t>Форма по ОКУД</t>
  </si>
  <si>
    <t>Краевое государственное унитарное предприятие "Примтеплоэнерго"</t>
  </si>
  <si>
    <t>по ОКПЛ</t>
  </si>
  <si>
    <t>Филиал</t>
  </si>
  <si>
    <t>Михайловский</t>
  </si>
  <si>
    <t>УТВЕРЖДЕНО</t>
  </si>
  <si>
    <t>(наименование филиала)</t>
  </si>
  <si>
    <t>Приказ от "7"_апреля 2011_г.</t>
  </si>
  <si>
    <t>Участок филиала</t>
  </si>
  <si>
    <t>(наименование участка)</t>
  </si>
  <si>
    <t>№_205</t>
  </si>
  <si>
    <t>ШТАТНОЕ РАСПИСАНИЕ</t>
  </si>
  <si>
    <t>Номер документа</t>
  </si>
  <si>
    <t>Дата</t>
  </si>
  <si>
    <t>Штат в количестве  961 единиц</t>
  </si>
  <si>
    <t>на "16" апреля 2012 года</t>
  </si>
  <si>
    <t>норма времени</t>
  </si>
  <si>
    <t>АУП</t>
  </si>
  <si>
    <t>Доплаты, надбавки, руб.</t>
  </si>
  <si>
    <t>Премия</t>
  </si>
  <si>
    <t>Код службы / отдела</t>
  </si>
  <si>
    <t>Структурное подразделение</t>
  </si>
  <si>
    <t>Структурное подразделение, профессия, должность</t>
  </si>
  <si>
    <t>Код категории должности</t>
  </si>
  <si>
    <t>Количество штатных единиц</t>
  </si>
  <si>
    <t>Количество месяцев работы</t>
  </si>
  <si>
    <t>Разряд</t>
  </si>
  <si>
    <t>Часовая тарифная ставка, руб.</t>
  </si>
  <si>
    <t>Оклад, месячная тарифная ставка, руб.</t>
  </si>
  <si>
    <t>За вредные условия труда</t>
  </si>
  <si>
    <t>Ночные</t>
  </si>
  <si>
    <t>Праздничные</t>
  </si>
  <si>
    <t>Персональная  надбавка</t>
  </si>
  <si>
    <t>За увеличение объема работы</t>
  </si>
  <si>
    <t>Прочие</t>
  </si>
  <si>
    <t>%</t>
  </si>
  <si>
    <t>Сумма, руб.</t>
  </si>
  <si>
    <t>Районный коэффициент, руб.</t>
  </si>
  <si>
    <t>Дальневосточная надбавка, руб.</t>
  </si>
  <si>
    <t>Месячный фонд заработной платы 1 шт. ед., руб.</t>
  </si>
  <si>
    <t>Месячный фонд заработной платы всех шт. ед., руб.</t>
  </si>
  <si>
    <t>Код вида Д</t>
  </si>
  <si>
    <t>Код КР</t>
  </si>
  <si>
    <t>Окл фонд</t>
  </si>
  <si>
    <t>Прем</t>
  </si>
  <si>
    <t>код района</t>
  </si>
  <si>
    <t>Процент роста</t>
  </si>
  <si>
    <t>Рабочий по благоустройству</t>
  </si>
  <si>
    <t>Костюм  х/б</t>
  </si>
  <si>
    <t>Костюм   брезентов.</t>
  </si>
  <si>
    <t>Ботинки   кожаные</t>
  </si>
  <si>
    <t>Сапоги кирзовые</t>
  </si>
  <si>
    <t>Сапоги резиновые</t>
  </si>
  <si>
    <t>Рукавицы комбинир.</t>
  </si>
  <si>
    <t>Рукавицы брезент.</t>
  </si>
  <si>
    <t>Куртка    ватная</t>
  </si>
  <si>
    <t xml:space="preserve">Брюки ватные </t>
  </si>
  <si>
    <t xml:space="preserve">Валенки </t>
  </si>
  <si>
    <t xml:space="preserve">№ </t>
  </si>
  <si>
    <t xml:space="preserve">наименование </t>
  </si>
  <si>
    <t xml:space="preserve">Числ. </t>
  </si>
  <si>
    <t xml:space="preserve">   пр      профессии</t>
  </si>
  <si>
    <t xml:space="preserve">  по </t>
  </si>
  <si>
    <t>штату</t>
  </si>
  <si>
    <t>(чел.)</t>
  </si>
  <si>
    <t>срок</t>
  </si>
  <si>
    <t>Потр (шт.)</t>
  </si>
  <si>
    <t xml:space="preserve">Срок нос. (мес.) </t>
  </si>
  <si>
    <t>Потр  (шт.)</t>
  </si>
  <si>
    <t>нос.</t>
  </si>
  <si>
    <t>(мес.)</t>
  </si>
  <si>
    <t xml:space="preserve">Электрогазосварщик </t>
  </si>
  <si>
    <t>Уборщик лестничных клеток</t>
  </si>
  <si>
    <t>Дворник</t>
  </si>
  <si>
    <t>Электромонтер</t>
  </si>
  <si>
    <t>Слесарь АВР</t>
  </si>
  <si>
    <t>Штукатур-маляр</t>
  </si>
  <si>
    <t xml:space="preserve">Плотник </t>
  </si>
  <si>
    <t xml:space="preserve">ВСЕГО </t>
  </si>
  <si>
    <t>Стоимость 1 ед.</t>
  </si>
  <si>
    <t>Сумма, тыс. руб.</t>
  </si>
  <si>
    <t>пос. Липовцы ул. Первомайская 4а</t>
  </si>
  <si>
    <t>23.05.2012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</si>
</sst>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%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147">
    <xf numFmtId="0" fontId="0" fillId="0" borderId="0" xfId="0"/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164" fontId="0" fillId="0" borderId="1" xfId="0" applyNumberFormat="1" applyFill="1" applyBorder="1"/>
    <xf numFmtId="164" fontId="0" fillId="0" borderId="1" xfId="0" applyNumberFormat="1" applyBorder="1"/>
    <xf numFmtId="49" fontId="0" fillId="0" borderId="1" xfId="0" applyNumberFormat="1" applyBorder="1" applyAlignment="1">
      <alignment horizontal="right"/>
    </xf>
    <xf numFmtId="2" fontId="0" fillId="0" borderId="1" xfId="0" applyNumberFormat="1" applyBorder="1"/>
    <xf numFmtId="1" fontId="0" fillId="0" borderId="0" xfId="0" applyNumberFormat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/>
    <xf numFmtId="2" fontId="3" fillId="0" borderId="1" xfId="0" applyNumberFormat="1" applyFont="1" applyBorder="1"/>
    <xf numFmtId="164" fontId="0" fillId="0" borderId="0" xfId="0" applyNumberFormat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0" fillId="0" borderId="0" xfId="0" applyFill="1" applyBorder="1"/>
    <xf numFmtId="0" fontId="4" fillId="0" borderId="2" xfId="0" applyFont="1" applyFill="1" applyBorder="1"/>
    <xf numFmtId="0" fontId="5" fillId="0" borderId="2" xfId="0" applyFont="1" applyFill="1" applyBorder="1" applyAlignment="1"/>
    <xf numFmtId="0" fontId="4" fillId="0" borderId="2" xfId="0" applyFont="1" applyFill="1" applyBorder="1" applyAlignment="1">
      <alignment wrapText="1"/>
    </xf>
    <xf numFmtId="165" fontId="4" fillId="0" borderId="2" xfId="0" applyNumberFormat="1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/>
    <xf numFmtId="166" fontId="4" fillId="0" borderId="2" xfId="0" applyNumberFormat="1" applyFont="1" applyFill="1" applyBorder="1"/>
    <xf numFmtId="3" fontId="6" fillId="0" borderId="2" xfId="1" applyNumberFormat="1" applyFont="1" applyFill="1" applyBorder="1"/>
    <xf numFmtId="3" fontId="4" fillId="0" borderId="2" xfId="0" applyNumberFormat="1" applyFont="1" applyFill="1" applyBorder="1" applyAlignment="1">
      <alignment horizontal="left"/>
    </xf>
    <xf numFmtId="3" fontId="0" fillId="0" borderId="2" xfId="0" applyNumberFormat="1" applyFill="1" applyBorder="1" applyAlignment="1">
      <alignment horizontal="left"/>
    </xf>
    <xf numFmtId="0" fontId="0" fillId="0" borderId="0" xfId="0" applyFont="1" applyFill="1"/>
    <xf numFmtId="0" fontId="0" fillId="0" borderId="0" xfId="0" applyFill="1"/>
    <xf numFmtId="167" fontId="0" fillId="0" borderId="0" xfId="0" applyNumberFormat="1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1" applyAlignment="1">
      <alignment horizontal="right"/>
    </xf>
    <xf numFmtId="0" fontId="4" fillId="0" borderId="0" xfId="0" applyFont="1" applyFill="1"/>
    <xf numFmtId="0" fontId="3" fillId="0" borderId="0" xfId="1"/>
    <xf numFmtId="0" fontId="7" fillId="0" borderId="0" xfId="0" applyFont="1"/>
    <xf numFmtId="0" fontId="6" fillId="0" borderId="0" xfId="1" applyFo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6" fillId="0" borderId="0" xfId="1" applyFont="1" applyAlignment="1">
      <alignment horizontal="left" indent="2"/>
    </xf>
    <xf numFmtId="0" fontId="4" fillId="0" borderId="0" xfId="0" applyFont="1" applyAlignment="1"/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vertical="top" indent="2"/>
    </xf>
    <xf numFmtId="0" fontId="6" fillId="0" borderId="0" xfId="1" applyFont="1" applyAlignment="1">
      <alignment horizontal="left" vertical="top" indent="2"/>
    </xf>
    <xf numFmtId="0" fontId="5" fillId="0" borderId="0" xfId="0" applyFont="1"/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1" applyFont="1" applyAlignment="1">
      <alignment wrapText="1"/>
    </xf>
    <xf numFmtId="0" fontId="4" fillId="3" borderId="0" xfId="0" applyFont="1" applyFill="1"/>
    <xf numFmtId="0" fontId="4" fillId="4" borderId="0" xfId="0" applyFont="1" applyFill="1"/>
    <xf numFmtId="0" fontId="4" fillId="0" borderId="6" xfId="0" applyFont="1" applyBorder="1" applyAlignment="1">
      <alignment horizontal="left" vertical="top" indent="2"/>
    </xf>
    <xf numFmtId="0" fontId="6" fillId="0" borderId="6" xfId="1" applyFont="1" applyBorder="1" applyAlignment="1">
      <alignment horizontal="left" vertical="top" indent="2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right" vertical="center" textRotation="90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Fill="1" applyBorder="1"/>
    <xf numFmtId="0" fontId="7" fillId="0" borderId="19" xfId="0" applyFont="1" applyBorder="1"/>
    <xf numFmtId="0" fontId="7" fillId="0" borderId="19" xfId="0" applyFont="1" applyFill="1" applyBorder="1"/>
    <xf numFmtId="0" fontId="7" fillId="0" borderId="20" xfId="0" applyFont="1" applyBorder="1"/>
    <xf numFmtId="0" fontId="7" fillId="0" borderId="18" xfId="0" applyFont="1" applyBorder="1"/>
    <xf numFmtId="0" fontId="2" fillId="0" borderId="20" xfId="1" applyFont="1" applyBorder="1"/>
    <xf numFmtId="0" fontId="7" fillId="0" borderId="21" xfId="0" applyFont="1" applyBorder="1"/>
    <xf numFmtId="0" fontId="7" fillId="0" borderId="11" xfId="0" applyFont="1" applyBorder="1"/>
    <xf numFmtId="0" fontId="6" fillId="0" borderId="11" xfId="1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right" vertical="center" textRotation="90" wrapText="1"/>
    </xf>
    <xf numFmtId="0" fontId="7" fillId="0" borderId="24" xfId="0" applyFont="1" applyBorder="1" applyAlignment="1">
      <alignment horizontal="right" vertical="center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10" fillId="0" borderId="25" xfId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5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3" fillId="0" borderId="27" xfId="0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164" fontId="14" fillId="0" borderId="1" xfId="0" applyNumberFormat="1" applyFont="1" applyBorder="1" applyAlignment="1">
      <alignment vertical="top" wrapText="1"/>
    </xf>
    <xf numFmtId="1" fontId="14" fillId="0" borderId="1" xfId="0" applyNumberFormat="1" applyFont="1" applyBorder="1" applyAlignment="1">
      <alignment vertical="top" wrapText="1"/>
    </xf>
    <xf numFmtId="1" fontId="14" fillId="0" borderId="37" xfId="0" applyNumberFormat="1" applyFont="1" applyBorder="1" applyAlignment="1">
      <alignment vertical="top" wrapText="1"/>
    </xf>
    <xf numFmtId="1" fontId="14" fillId="0" borderId="38" xfId="0" applyNumberFormat="1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4" fillId="0" borderId="39" xfId="0" applyFont="1" applyBorder="1" applyAlignment="1">
      <alignment vertical="top" wrapText="1"/>
    </xf>
    <xf numFmtId="164" fontId="15" fillId="0" borderId="40" xfId="0" applyNumberFormat="1" applyFont="1" applyBorder="1" applyAlignment="1">
      <alignment vertical="top" wrapText="1"/>
    </xf>
    <xf numFmtId="0" fontId="15" fillId="0" borderId="40" xfId="0" applyFont="1" applyBorder="1" applyAlignment="1">
      <alignment vertical="top" wrapText="1"/>
    </xf>
    <xf numFmtId="164" fontId="15" fillId="0" borderId="41" xfId="0" applyNumberFormat="1" applyFont="1" applyBorder="1" applyAlignment="1">
      <alignment vertical="top" wrapText="1"/>
    </xf>
    <xf numFmtId="164" fontId="0" fillId="0" borderId="0" xfId="0" applyNumberForma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7" xfId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3" fillId="0" borderId="27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</cellXfs>
  <cellStyles count="3">
    <cellStyle name="Обычный" xfId="0" builtinId="0"/>
    <cellStyle name="Обычный 2" xfId="2"/>
    <cellStyle name="УровеньСтолб_1" xfId="1" builtinId="2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2012/&#1042;&#1044;&#1054;%202012/&#1050;&#1072;&#1083;&#1100;&#1082;&#1091;&#1083;&#1103;&#1094;&#1080;&#1080;%20&#1042;&#1044;&#1054;%202012&#1075;/&#1050;&#1074;&#1072;&#1088;&#1090;&#1072;&#1083;%201%20&#1076;&#1086;&#1084;%20&#8470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ив"/>
      <sheetName val="Спец.одежда"/>
      <sheetName val="Калькуляция"/>
      <sheetName val="Штатка"/>
      <sheetName val="Техн.хар."/>
      <sheetName val="Тек.Рем"/>
    </sheetNames>
    <sheetDataSet>
      <sheetData sheetId="0"/>
      <sheetData sheetId="1"/>
      <sheetData sheetId="2"/>
      <sheetData sheetId="3">
        <row r="46">
          <cell r="D46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abSelected="1" view="pageBreakPreview" topLeftCell="A10" zoomScaleNormal="100" workbookViewId="0">
      <selection activeCell="F39" sqref="F39"/>
    </sheetView>
  </sheetViews>
  <sheetFormatPr defaultRowHeight="12.75" x14ac:dyDescent="0.2"/>
  <cols>
    <col min="1" max="1" width="5" customWidth="1"/>
    <col min="2" max="2" width="39.85546875" customWidth="1"/>
    <col min="3" max="3" width="15.28515625" customWidth="1"/>
    <col min="4" max="5" width="9.7109375" customWidth="1"/>
    <col min="6" max="6" width="11.7109375" customWidth="1"/>
    <col min="7" max="7" width="9.5703125" bestFit="1" customWidth="1"/>
  </cols>
  <sheetData>
    <row r="2" spans="2:5" x14ac:dyDescent="0.2">
      <c r="D2" t="s">
        <v>0</v>
      </c>
    </row>
    <row r="3" spans="2:5" x14ac:dyDescent="0.2">
      <c r="D3" t="s">
        <v>1</v>
      </c>
    </row>
    <row r="4" spans="2:5" x14ac:dyDescent="0.2">
      <c r="D4" t="s">
        <v>2</v>
      </c>
    </row>
    <row r="6" spans="2:5" x14ac:dyDescent="0.2">
      <c r="D6" t="s">
        <v>3</v>
      </c>
    </row>
    <row r="8" spans="2:5" x14ac:dyDescent="0.2">
      <c r="D8" t="s">
        <v>133</v>
      </c>
    </row>
    <row r="11" spans="2:5" s="3" customFormat="1" x14ac:dyDescent="0.2">
      <c r="B11" s="2" t="s">
        <v>4</v>
      </c>
      <c r="C11" s="2"/>
      <c r="D11" s="2"/>
      <c r="E11" s="2"/>
    </row>
    <row r="12" spans="2:5" s="3" customFormat="1" x14ac:dyDescent="0.2">
      <c r="B12" s="2" t="s">
        <v>5</v>
      </c>
    </row>
    <row r="13" spans="2:5" s="3" customFormat="1" x14ac:dyDescent="0.2">
      <c r="B13" s="2" t="s">
        <v>6</v>
      </c>
    </row>
    <row r="14" spans="2:5" s="3" customFormat="1" x14ac:dyDescent="0.2">
      <c r="B14" s="2" t="s">
        <v>132</v>
      </c>
    </row>
    <row r="15" spans="2:5" s="3" customFormat="1" x14ac:dyDescent="0.2">
      <c r="B15" s="2"/>
    </row>
    <row r="17" spans="1:7" s="6" customFormat="1" ht="49.15" customHeight="1" x14ac:dyDescent="0.2">
      <c r="A17" s="4" t="s">
        <v>7</v>
      </c>
      <c r="B17" s="5" t="s">
        <v>8</v>
      </c>
      <c r="C17" s="4" t="s">
        <v>9</v>
      </c>
      <c r="D17" s="4" t="s">
        <v>10</v>
      </c>
      <c r="E17" s="4" t="s">
        <v>11</v>
      </c>
      <c r="F17" s="4" t="s">
        <v>12</v>
      </c>
    </row>
    <row r="18" spans="1:7" x14ac:dyDescent="0.2">
      <c r="A18" s="7">
        <v>1</v>
      </c>
      <c r="B18" s="7" t="s">
        <v>13</v>
      </c>
      <c r="C18" s="7"/>
      <c r="D18" s="7"/>
      <c r="E18" s="7"/>
      <c r="F18" s="8">
        <f>(ШР!U22+ШР!U23)*12/1000</f>
        <v>313.37220096000004</v>
      </c>
    </row>
    <row r="19" spans="1:7" x14ac:dyDescent="0.2">
      <c r="A19" s="7">
        <v>2</v>
      </c>
      <c r="B19" s="7" t="s">
        <v>14</v>
      </c>
      <c r="C19" s="7"/>
      <c r="D19" s="7"/>
      <c r="E19" s="7"/>
      <c r="F19" s="9">
        <f>F18*30.2%</f>
        <v>94.638404689920009</v>
      </c>
    </row>
    <row r="20" spans="1:7" x14ac:dyDescent="0.2">
      <c r="A20" s="7">
        <v>3</v>
      </c>
      <c r="B20" s="7" t="s">
        <v>15</v>
      </c>
      <c r="C20" s="7" t="s">
        <v>16</v>
      </c>
      <c r="D20" s="7">
        <v>630</v>
      </c>
      <c r="E20" s="9">
        <f>F30/100*1</f>
        <v>43.787200000000006</v>
      </c>
      <c r="F20" s="9">
        <f>D20*E20/1000</f>
        <v>27.585936000000004</v>
      </c>
    </row>
    <row r="21" spans="1:7" x14ac:dyDescent="0.2">
      <c r="A21" s="7">
        <v>4</v>
      </c>
      <c r="B21" s="7" t="s">
        <v>17</v>
      </c>
      <c r="C21" s="7"/>
      <c r="D21" s="7"/>
      <c r="E21" s="7"/>
      <c r="F21" s="9">
        <f>F22+F23+F24</f>
        <v>3.8946666666666667</v>
      </c>
    </row>
    <row r="22" spans="1:7" x14ac:dyDescent="0.2">
      <c r="A22" s="10" t="s">
        <v>18</v>
      </c>
      <c r="B22" s="7" t="s">
        <v>19</v>
      </c>
      <c r="C22" s="7"/>
      <c r="D22" s="7"/>
      <c r="E22" s="7"/>
      <c r="F22" s="9">
        <f>Спец.одежда!C21</f>
        <v>3.0746666666666664</v>
      </c>
    </row>
    <row r="23" spans="1:7" x14ac:dyDescent="0.2">
      <c r="A23" s="10" t="s">
        <v>20</v>
      </c>
      <c r="B23" s="7" t="s">
        <v>21</v>
      </c>
      <c r="C23" s="7" t="s">
        <v>22</v>
      </c>
      <c r="D23" s="7">
        <v>700</v>
      </c>
      <c r="E23" s="7">
        <v>1</v>
      </c>
      <c r="F23" s="9">
        <f>D23*E23/1000</f>
        <v>0.7</v>
      </c>
    </row>
    <row r="24" spans="1:7" x14ac:dyDescent="0.2">
      <c r="A24" s="10" t="s">
        <v>23</v>
      </c>
      <c r="B24" s="7" t="s">
        <v>24</v>
      </c>
      <c r="C24" s="7" t="s">
        <v>25</v>
      </c>
      <c r="D24" s="7">
        <v>10</v>
      </c>
      <c r="E24" s="7">
        <v>1</v>
      </c>
      <c r="F24" s="9">
        <f>D24*E24*12/1000</f>
        <v>0.12</v>
      </c>
    </row>
    <row r="25" spans="1:7" x14ac:dyDescent="0.2">
      <c r="A25" s="7">
        <v>5</v>
      </c>
      <c r="B25" s="7" t="s">
        <v>26</v>
      </c>
      <c r="C25" s="7"/>
      <c r="D25" s="7"/>
      <c r="E25" s="7"/>
      <c r="F25" s="9">
        <v>53</v>
      </c>
    </row>
    <row r="26" spans="1:7" x14ac:dyDescent="0.2">
      <c r="A26" s="7">
        <v>6</v>
      </c>
      <c r="B26" s="7" t="s">
        <v>27</v>
      </c>
      <c r="C26" s="7" t="s">
        <v>28</v>
      </c>
      <c r="D26" s="7">
        <v>1.98</v>
      </c>
      <c r="E26" s="7">
        <f>F30</f>
        <v>4378.72</v>
      </c>
      <c r="F26" s="11">
        <f>D26*E26*12/1000</f>
        <v>104.03838720000002</v>
      </c>
      <c r="G26" s="12"/>
    </row>
    <row r="27" spans="1:7" ht="25.5" x14ac:dyDescent="0.2">
      <c r="A27" s="7">
        <v>7</v>
      </c>
      <c r="B27" s="13" t="s">
        <v>29</v>
      </c>
      <c r="C27" s="7" t="s">
        <v>30</v>
      </c>
      <c r="D27" s="7"/>
      <c r="E27" s="7"/>
      <c r="F27" s="9"/>
    </row>
    <row r="28" spans="1:7" x14ac:dyDescent="0.2">
      <c r="A28" s="7">
        <v>8</v>
      </c>
      <c r="B28" s="14" t="s">
        <v>31</v>
      </c>
      <c r="C28" s="7"/>
      <c r="D28" s="7"/>
      <c r="E28" s="7"/>
      <c r="F28" s="9">
        <f>(F18+F19+F20+F21+F25+F26+F27)*32%</f>
        <v>190.88947056530779</v>
      </c>
    </row>
    <row r="29" spans="1:7" x14ac:dyDescent="0.2">
      <c r="A29" s="7"/>
      <c r="B29" s="7" t="s">
        <v>32</v>
      </c>
      <c r="C29" s="7"/>
      <c r="D29" s="7"/>
      <c r="E29" s="7"/>
      <c r="F29" s="9">
        <f>SUM(F18:F21)+F25+F26+F27+F28</f>
        <v>787.41906608189458</v>
      </c>
    </row>
    <row r="30" spans="1:7" x14ac:dyDescent="0.2">
      <c r="A30" s="7"/>
      <c r="B30" s="7" t="s">
        <v>33</v>
      </c>
      <c r="C30" s="7"/>
      <c r="D30" s="7"/>
      <c r="E30" s="7"/>
      <c r="F30" s="7">
        <v>4378.72</v>
      </c>
    </row>
    <row r="31" spans="1:7" x14ac:dyDescent="0.2">
      <c r="A31" s="7"/>
      <c r="B31" s="7" t="s">
        <v>34</v>
      </c>
      <c r="C31" s="7"/>
      <c r="D31" s="7"/>
      <c r="E31" s="7"/>
      <c r="F31" s="11">
        <f>F29/F30*1000/12</f>
        <v>14.985716261104741</v>
      </c>
    </row>
    <row r="32" spans="1:7" x14ac:dyDescent="0.2">
      <c r="A32" s="7"/>
      <c r="B32" s="7" t="s">
        <v>35</v>
      </c>
      <c r="C32" s="7"/>
      <c r="D32" s="7"/>
      <c r="E32" s="7"/>
      <c r="F32" s="11">
        <f>F31*15%</f>
        <v>2.2478574391657111</v>
      </c>
    </row>
    <row r="33" spans="1:7" x14ac:dyDescent="0.2">
      <c r="A33" s="7"/>
      <c r="B33" s="7" t="s">
        <v>36</v>
      </c>
      <c r="C33" s="7"/>
      <c r="D33" s="7"/>
      <c r="E33" s="7"/>
      <c r="F33" s="11">
        <f>F31+F32</f>
        <v>17.233573700270451</v>
      </c>
      <c r="G33" s="12"/>
    </row>
    <row r="34" spans="1:7" x14ac:dyDescent="0.2">
      <c r="A34" s="7"/>
      <c r="B34" s="7" t="s">
        <v>37</v>
      </c>
      <c r="C34" s="7"/>
      <c r="D34" s="7"/>
      <c r="E34" s="7"/>
      <c r="F34" s="11">
        <f>(F33)*0.18</f>
        <v>3.102043266048681</v>
      </c>
      <c r="G34" s="2"/>
    </row>
    <row r="35" spans="1:7" s="3" customFormat="1" x14ac:dyDescent="0.2">
      <c r="A35" s="15"/>
      <c r="B35" s="15" t="s">
        <v>38</v>
      </c>
      <c r="C35" s="15"/>
      <c r="D35" s="15"/>
      <c r="E35" s="15"/>
      <c r="F35" s="16">
        <f>F33+F34</f>
        <v>20.335616966319133</v>
      </c>
      <c r="G35" s="17">
        <v>13.4</v>
      </c>
    </row>
    <row r="36" spans="1:7" s="18" customFormat="1" x14ac:dyDescent="0.2">
      <c r="A36" s="7"/>
      <c r="B36" s="7" t="s">
        <v>39</v>
      </c>
      <c r="C36" s="7" t="s">
        <v>40</v>
      </c>
      <c r="D36" s="7"/>
      <c r="E36" s="7"/>
      <c r="F36" s="11">
        <f>(F25+ШР!U22/1000*12*1.302)*1.32/F30/12*1.15*1.18*1000-0.003</f>
        <v>5.1702797171505885</v>
      </c>
      <c r="G36" s="17"/>
    </row>
    <row r="37" spans="1:7" s="18" customFormat="1" x14ac:dyDescent="0.2">
      <c r="A37" s="7"/>
      <c r="B37" s="7" t="s">
        <v>41</v>
      </c>
      <c r="C37" s="7" t="s">
        <v>40</v>
      </c>
      <c r="D37" s="7"/>
      <c r="E37" s="7"/>
      <c r="F37" s="11">
        <f>F35-F36+0.003</f>
        <v>15.168337249168545</v>
      </c>
      <c r="G37" s="17"/>
    </row>
    <row r="38" spans="1:7" x14ac:dyDescent="0.2">
      <c r="A38" s="18"/>
      <c r="B38" s="18"/>
      <c r="C38" s="18"/>
      <c r="D38" s="18"/>
      <c r="E38" s="18"/>
      <c r="F38" s="19"/>
    </row>
    <row r="39" spans="1:7" s="18" customFormat="1" x14ac:dyDescent="0.2"/>
    <row r="40" spans="1:7" s="18" customFormat="1" x14ac:dyDescent="0.2"/>
    <row r="41" spans="1:7" s="18" customFormat="1" x14ac:dyDescent="0.2">
      <c r="B41" s="20" t="s">
        <v>42</v>
      </c>
      <c r="D41" s="18" t="s">
        <v>43</v>
      </c>
    </row>
    <row r="42" spans="1:7" s="18" customFormat="1" x14ac:dyDescent="0.2"/>
    <row r="43" spans="1:7" s="18" customFormat="1" x14ac:dyDescent="0.2"/>
    <row r="44" spans="1:7" s="18" customFormat="1" x14ac:dyDescent="0.2"/>
    <row r="45" spans="1:7" s="18" customFormat="1" x14ac:dyDescent="0.2"/>
    <row r="46" spans="1:7" s="18" customFormat="1" x14ac:dyDescent="0.2"/>
    <row r="47" spans="1:7" s="18" customFormat="1" x14ac:dyDescent="0.2"/>
    <row r="48" spans="1:7" s="18" customFormat="1" x14ac:dyDescent="0.2"/>
    <row r="49" spans="1:1" s="18" customFormat="1" x14ac:dyDescent="0.2"/>
    <row r="50" spans="1:1" s="18" customFormat="1" x14ac:dyDescent="0.2">
      <c r="A50" s="18" t="s">
        <v>44</v>
      </c>
    </row>
    <row r="51" spans="1:1" s="18" customFormat="1" x14ac:dyDescent="0.2"/>
  </sheetData>
  <pageMargins left="0.61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3"/>
  <sheetViews>
    <sheetView topLeftCell="A7" workbookViewId="0">
      <selection activeCell="C26" sqref="C26"/>
    </sheetView>
  </sheetViews>
  <sheetFormatPr defaultRowHeight="12.75" x14ac:dyDescent="0.2"/>
  <cols>
    <col min="3" max="3" width="34.140625" customWidth="1"/>
  </cols>
  <sheetData>
    <row r="1" spans="1:31" ht="9.75" customHeight="1" x14ac:dyDescent="0.2">
      <c r="A1" s="34"/>
      <c r="B1" s="34"/>
      <c r="C1" s="34"/>
      <c r="D1" s="34"/>
      <c r="E1" s="34"/>
      <c r="F1" s="35"/>
      <c r="G1" s="34"/>
      <c r="H1" s="34"/>
      <c r="I1" s="36"/>
      <c r="J1" s="37"/>
      <c r="K1" s="34"/>
      <c r="L1" s="34"/>
      <c r="M1" s="37"/>
      <c r="N1" s="34"/>
      <c r="O1" s="34"/>
      <c r="P1" s="34"/>
      <c r="Q1" s="38"/>
      <c r="R1" s="34"/>
      <c r="S1" s="39" t="s">
        <v>47</v>
      </c>
      <c r="T1" s="34"/>
      <c r="U1" s="40"/>
      <c r="V1" s="41"/>
      <c r="W1" s="42"/>
      <c r="Z1" s="42"/>
      <c r="AE1" s="32"/>
    </row>
    <row r="2" spans="1:31" ht="9.75" customHeight="1" x14ac:dyDescent="0.2">
      <c r="A2" s="34"/>
      <c r="B2" s="34"/>
      <c r="C2" s="34"/>
      <c r="D2" s="34"/>
      <c r="E2" s="34"/>
      <c r="F2" s="35"/>
      <c r="G2" s="34"/>
      <c r="H2" s="34"/>
      <c r="I2" s="36"/>
      <c r="J2" s="37"/>
      <c r="K2" s="34"/>
      <c r="L2" s="34"/>
      <c r="M2" s="37"/>
      <c r="N2" s="34"/>
      <c r="O2" s="34"/>
      <c r="P2" s="34"/>
      <c r="Q2" s="38"/>
      <c r="R2" s="34"/>
      <c r="S2" s="39" t="s">
        <v>48</v>
      </c>
      <c r="T2" s="34"/>
      <c r="U2" s="40"/>
      <c r="V2" s="41"/>
      <c r="W2" s="42"/>
      <c r="Z2" s="42"/>
      <c r="AE2" s="32"/>
    </row>
    <row r="3" spans="1:31" ht="9.75" customHeight="1" x14ac:dyDescent="0.2">
      <c r="A3" s="34"/>
      <c r="B3" s="34"/>
      <c r="C3" s="34"/>
      <c r="D3" s="34"/>
      <c r="E3" s="34"/>
      <c r="F3" s="35"/>
      <c r="G3" s="34"/>
      <c r="H3" s="34"/>
      <c r="I3" s="36"/>
      <c r="J3" s="37"/>
      <c r="K3" s="34"/>
      <c r="L3" s="34"/>
      <c r="M3" s="37"/>
      <c r="N3" s="34"/>
      <c r="O3" s="34"/>
      <c r="P3" s="34"/>
      <c r="Q3" s="38"/>
      <c r="R3" s="34"/>
      <c r="S3" s="39" t="s">
        <v>49</v>
      </c>
      <c r="T3" s="34"/>
      <c r="U3" s="40"/>
      <c r="V3" s="41"/>
      <c r="W3" s="42"/>
      <c r="Z3" s="42"/>
      <c r="AE3" s="32"/>
    </row>
    <row r="4" spans="1:31" ht="12.75" customHeight="1" x14ac:dyDescent="0.2">
      <c r="A4" s="34"/>
      <c r="B4" s="34"/>
      <c r="C4" s="34"/>
      <c r="D4" s="34"/>
      <c r="E4" s="34"/>
      <c r="F4" s="35"/>
      <c r="G4" s="34"/>
      <c r="H4" s="34"/>
      <c r="I4" s="36"/>
      <c r="J4" s="37"/>
      <c r="K4" s="34"/>
      <c r="L4" s="34"/>
      <c r="M4" s="37"/>
      <c r="N4" s="34"/>
      <c r="O4" s="34"/>
      <c r="P4" s="34"/>
      <c r="Q4" s="38"/>
      <c r="R4" s="34"/>
      <c r="S4" s="34"/>
      <c r="T4" s="34"/>
      <c r="U4" s="40"/>
      <c r="V4" s="41"/>
      <c r="W4" s="42"/>
      <c r="Z4" s="42"/>
      <c r="AE4" s="32"/>
    </row>
    <row r="5" spans="1:31" ht="12.75" customHeight="1" x14ac:dyDescent="0.2">
      <c r="A5" s="34"/>
      <c r="B5" s="34"/>
      <c r="C5" s="34"/>
      <c r="D5" s="34"/>
      <c r="E5" s="34"/>
      <c r="F5" s="35"/>
      <c r="G5" s="34"/>
      <c r="H5" s="34"/>
      <c r="I5" s="36"/>
      <c r="J5" s="37"/>
      <c r="K5" s="34"/>
      <c r="L5" s="34"/>
      <c r="M5" s="37"/>
      <c r="N5" s="34"/>
      <c r="O5" s="34"/>
      <c r="P5" s="34"/>
      <c r="Q5" s="38"/>
      <c r="R5" s="34"/>
      <c r="S5" s="34"/>
      <c r="T5" s="43" t="s">
        <v>50</v>
      </c>
      <c r="U5" s="44"/>
      <c r="V5" s="41"/>
      <c r="W5" s="42"/>
      <c r="Z5" s="42"/>
      <c r="AE5" s="32"/>
    </row>
    <row r="6" spans="1:31" ht="20.25" customHeight="1" x14ac:dyDescent="0.2">
      <c r="A6" s="34"/>
      <c r="B6" s="34"/>
      <c r="C6" s="34"/>
      <c r="D6" s="34"/>
      <c r="E6" s="34"/>
      <c r="F6" s="35"/>
      <c r="G6" s="34"/>
      <c r="H6" s="34"/>
      <c r="I6" s="36"/>
      <c r="J6" s="37"/>
      <c r="K6" s="34"/>
      <c r="L6" s="34"/>
      <c r="M6" s="37"/>
      <c r="N6" s="34"/>
      <c r="O6" s="34"/>
      <c r="P6" s="34"/>
      <c r="Q6" s="38"/>
      <c r="R6" s="34"/>
      <c r="S6" s="45" t="s">
        <v>51</v>
      </c>
      <c r="T6" s="46">
        <v>301017</v>
      </c>
      <c r="U6" s="47"/>
      <c r="V6" s="41"/>
      <c r="W6" s="42"/>
      <c r="Z6" s="42"/>
      <c r="AE6" s="32"/>
    </row>
    <row r="7" spans="1:31" ht="16.5" customHeight="1" x14ac:dyDescent="0.25">
      <c r="A7" s="34"/>
      <c r="B7" s="34"/>
      <c r="C7" s="127" t="s">
        <v>52</v>
      </c>
      <c r="D7" s="127"/>
      <c r="E7" s="127"/>
      <c r="F7" s="127"/>
      <c r="G7" s="127"/>
      <c r="H7" s="127"/>
      <c r="I7" s="128"/>
      <c r="J7" s="129"/>
      <c r="K7" s="127"/>
      <c r="L7" s="127"/>
      <c r="M7" s="127"/>
      <c r="N7" s="127"/>
      <c r="O7" s="127"/>
      <c r="P7" s="34"/>
      <c r="Q7" s="38"/>
      <c r="R7" s="34"/>
      <c r="S7" s="45" t="s">
        <v>53</v>
      </c>
      <c r="T7" s="48">
        <v>57825401</v>
      </c>
      <c r="U7" s="49"/>
      <c r="V7" s="41"/>
      <c r="W7" s="42"/>
      <c r="Z7" s="42"/>
      <c r="AE7" s="32"/>
    </row>
    <row r="8" spans="1:31" ht="13.5" customHeight="1" x14ac:dyDescent="0.25">
      <c r="A8" s="34"/>
      <c r="B8" s="34"/>
      <c r="C8" s="50" t="s">
        <v>54</v>
      </c>
      <c r="D8" s="130" t="s">
        <v>55</v>
      </c>
      <c r="E8" s="130"/>
      <c r="F8" s="130"/>
      <c r="G8" s="130"/>
      <c r="H8" s="130"/>
      <c r="I8" s="131"/>
      <c r="J8" s="132"/>
      <c r="K8" s="130"/>
      <c r="L8" s="130"/>
      <c r="M8" s="130"/>
      <c r="N8" s="130"/>
      <c r="O8" s="130"/>
      <c r="P8" s="51" t="s">
        <v>56</v>
      </c>
      <c r="Q8" s="51"/>
      <c r="R8" s="51"/>
      <c r="S8" s="51"/>
      <c r="T8" s="51"/>
      <c r="U8" s="52"/>
      <c r="V8" s="41"/>
      <c r="W8" s="42"/>
      <c r="Z8" s="42"/>
      <c r="AE8" s="32"/>
    </row>
    <row r="9" spans="1:31" ht="9" customHeight="1" x14ac:dyDescent="0.25">
      <c r="A9" s="34"/>
      <c r="B9" s="34"/>
      <c r="C9" s="53"/>
      <c r="D9" s="133" t="s">
        <v>57</v>
      </c>
      <c r="E9" s="133"/>
      <c r="F9" s="133"/>
      <c r="G9" s="133"/>
      <c r="H9" s="133"/>
      <c r="I9" s="134"/>
      <c r="J9" s="135"/>
      <c r="K9" s="133"/>
      <c r="L9" s="133"/>
      <c r="M9" s="133"/>
      <c r="N9" s="133"/>
      <c r="O9" s="133"/>
      <c r="P9" s="51"/>
      <c r="Q9" s="51"/>
      <c r="R9" s="51"/>
      <c r="S9" s="51"/>
      <c r="T9" s="51"/>
      <c r="U9" s="52"/>
      <c r="V9" s="41"/>
      <c r="W9" s="42"/>
      <c r="Z9" s="42"/>
      <c r="AE9" s="32"/>
    </row>
    <row r="10" spans="1:31" ht="12.75" customHeight="1" x14ac:dyDescent="0.2">
      <c r="A10" s="34"/>
      <c r="B10" s="34"/>
      <c r="C10" s="53"/>
      <c r="D10" s="34"/>
      <c r="E10" s="34"/>
      <c r="F10" s="35"/>
      <c r="G10" s="34"/>
      <c r="H10" s="34"/>
      <c r="I10" s="36"/>
      <c r="J10" s="37"/>
      <c r="K10" s="34"/>
      <c r="L10" s="34"/>
      <c r="M10" s="37"/>
      <c r="N10" s="34"/>
      <c r="O10" s="34"/>
      <c r="P10" s="54" t="s">
        <v>58</v>
      </c>
      <c r="Q10" s="54"/>
      <c r="R10" s="54"/>
      <c r="S10" s="54"/>
      <c r="T10" s="54"/>
      <c r="U10" s="52"/>
      <c r="V10" s="41"/>
      <c r="W10" s="42"/>
      <c r="Z10" s="42"/>
      <c r="AE10" s="32"/>
    </row>
    <row r="11" spans="1:31" ht="15" customHeight="1" x14ac:dyDescent="0.25">
      <c r="A11" s="34"/>
      <c r="B11" s="34"/>
      <c r="C11" s="50" t="s">
        <v>59</v>
      </c>
      <c r="D11" s="136"/>
      <c r="E11" s="136"/>
      <c r="F11" s="136"/>
      <c r="G11" s="136"/>
      <c r="H11" s="136"/>
      <c r="I11" s="131"/>
      <c r="J11" s="137"/>
      <c r="K11" s="136"/>
      <c r="L11" s="136"/>
      <c r="M11" s="136"/>
      <c r="N11" s="136"/>
      <c r="O11" s="136"/>
      <c r="P11" s="54"/>
      <c r="Q11" s="54"/>
      <c r="R11" s="54"/>
      <c r="S11" s="54"/>
      <c r="T11" s="54"/>
      <c r="U11" s="52"/>
      <c r="V11" s="41"/>
      <c r="W11" s="42"/>
      <c r="Z11" s="42"/>
      <c r="AE11" s="32"/>
    </row>
    <row r="12" spans="1:31" ht="8.25" customHeight="1" x14ac:dyDescent="0.2">
      <c r="A12" s="34"/>
      <c r="B12" s="34"/>
      <c r="C12" s="34"/>
      <c r="D12" s="133" t="s">
        <v>60</v>
      </c>
      <c r="E12" s="133"/>
      <c r="F12" s="133"/>
      <c r="G12" s="133"/>
      <c r="H12" s="133"/>
      <c r="I12" s="134"/>
      <c r="J12" s="135"/>
      <c r="K12" s="133"/>
      <c r="L12" s="133"/>
      <c r="M12" s="133"/>
      <c r="N12" s="133"/>
      <c r="O12" s="133"/>
      <c r="P12" s="55" t="s">
        <v>61</v>
      </c>
      <c r="Q12" s="55"/>
      <c r="R12" s="55"/>
      <c r="S12" s="55"/>
      <c r="T12" s="55"/>
      <c r="U12" s="56"/>
      <c r="V12" s="41"/>
      <c r="W12" s="42"/>
      <c r="Z12" s="42"/>
      <c r="AE12" s="32"/>
    </row>
    <row r="13" spans="1:31" ht="12.75" customHeight="1" x14ac:dyDescent="0.2">
      <c r="A13" s="34"/>
      <c r="B13" s="34"/>
      <c r="C13" s="57"/>
      <c r="D13" s="34"/>
      <c r="E13" s="34"/>
      <c r="F13" s="35"/>
      <c r="G13" s="34"/>
      <c r="H13" s="34"/>
      <c r="I13" s="36"/>
      <c r="J13" s="37"/>
      <c r="K13" s="34"/>
      <c r="L13" s="34"/>
      <c r="M13" s="37"/>
      <c r="N13" s="34"/>
      <c r="O13" s="34"/>
      <c r="P13" s="55"/>
      <c r="Q13" s="55"/>
      <c r="R13" s="55"/>
      <c r="S13" s="55"/>
      <c r="T13" s="55"/>
      <c r="U13" s="56"/>
      <c r="V13" s="41"/>
      <c r="W13" s="42"/>
      <c r="Z13" s="42"/>
      <c r="AE13" s="32"/>
    </row>
    <row r="14" spans="1:31" ht="16.5" customHeight="1" x14ac:dyDescent="0.25">
      <c r="A14" s="34"/>
      <c r="B14" s="34"/>
      <c r="C14" s="127" t="s">
        <v>62</v>
      </c>
      <c r="D14" s="127"/>
      <c r="E14" s="127"/>
      <c r="F14" s="127"/>
      <c r="G14" s="127"/>
      <c r="H14" s="127"/>
      <c r="I14" s="127"/>
      <c r="J14" s="129"/>
      <c r="K14" s="138" t="s">
        <v>63</v>
      </c>
      <c r="L14" s="138"/>
      <c r="M14" s="138"/>
      <c r="N14" s="138" t="s">
        <v>64</v>
      </c>
      <c r="O14" s="138"/>
      <c r="P14" s="58" t="s">
        <v>65</v>
      </c>
      <c r="Q14" s="59"/>
      <c r="R14" s="59"/>
      <c r="S14" s="59"/>
      <c r="T14" s="59"/>
      <c r="U14" s="60"/>
      <c r="V14" s="41"/>
      <c r="W14" s="42"/>
      <c r="Z14" s="42"/>
      <c r="AE14" s="32"/>
    </row>
    <row r="15" spans="1:31" x14ac:dyDescent="0.2">
      <c r="A15" s="34"/>
      <c r="B15" s="34"/>
      <c r="C15" s="1" t="s">
        <v>66</v>
      </c>
      <c r="D15" s="1"/>
      <c r="E15" s="1"/>
      <c r="F15" s="1"/>
      <c r="G15" s="1"/>
      <c r="H15" s="1"/>
      <c r="I15" s="1"/>
      <c r="J15" s="1"/>
      <c r="K15" s="124"/>
      <c r="L15" s="125"/>
      <c r="M15" s="125"/>
      <c r="N15" s="125"/>
      <c r="O15" s="126"/>
      <c r="P15" s="61"/>
      <c r="Q15" s="62"/>
      <c r="R15" s="62"/>
      <c r="S15" s="62"/>
      <c r="T15" s="62"/>
      <c r="U15" s="63"/>
      <c r="V15" s="41"/>
      <c r="W15" s="42"/>
      <c r="Z15" s="42"/>
      <c r="AE15" s="32"/>
    </row>
    <row r="16" spans="1:31" x14ac:dyDescent="0.2">
      <c r="A16" s="34"/>
      <c r="B16" s="34"/>
      <c r="C16" s="64" t="s">
        <v>67</v>
      </c>
      <c r="D16" s="64">
        <v>165.08333333333334</v>
      </c>
      <c r="E16" s="37"/>
      <c r="F16" s="65" t="s">
        <v>68</v>
      </c>
      <c r="G16" s="65">
        <v>1.1000000000000001</v>
      </c>
      <c r="H16" s="34"/>
      <c r="I16" s="35"/>
      <c r="J16" s="37"/>
      <c r="K16" s="34"/>
      <c r="L16" s="34"/>
      <c r="M16" s="37"/>
      <c r="N16" s="34"/>
      <c r="O16" s="34"/>
      <c r="P16" s="66"/>
      <c r="Q16" s="66"/>
      <c r="R16" s="66"/>
      <c r="S16" s="66"/>
      <c r="T16" s="66"/>
      <c r="U16" s="67"/>
      <c r="V16" s="41"/>
      <c r="W16" s="42"/>
      <c r="Z16" s="42"/>
      <c r="AE16" s="32"/>
    </row>
    <row r="17" spans="1:38" x14ac:dyDescent="0.2">
      <c r="A17" s="68"/>
      <c r="B17" s="69"/>
      <c r="C17" s="70"/>
      <c r="D17" s="71"/>
      <c r="E17" s="71"/>
      <c r="F17" s="72"/>
      <c r="G17" s="71"/>
      <c r="H17" s="70"/>
      <c r="I17" s="73"/>
      <c r="J17" s="74" t="s">
        <v>69</v>
      </c>
      <c r="K17" s="75"/>
      <c r="L17" s="75"/>
      <c r="M17" s="76"/>
      <c r="N17" s="75"/>
      <c r="O17" s="77"/>
      <c r="P17" s="78" t="s">
        <v>70</v>
      </c>
      <c r="Q17" s="79"/>
      <c r="R17" s="80"/>
      <c r="S17" s="81"/>
      <c r="T17" s="81"/>
      <c r="U17" s="82"/>
      <c r="V17" s="83"/>
      <c r="W17" s="84"/>
      <c r="X17" s="39"/>
      <c r="Y17" s="39"/>
      <c r="Z17" s="42"/>
      <c r="AE17" s="32"/>
    </row>
    <row r="18" spans="1:38" s="98" customFormat="1" ht="75" customHeight="1" x14ac:dyDescent="0.2">
      <c r="A18" s="85" t="s">
        <v>71</v>
      </c>
      <c r="B18" s="86" t="s">
        <v>72</v>
      </c>
      <c r="C18" s="86" t="s">
        <v>73</v>
      </c>
      <c r="D18" s="87" t="s">
        <v>74</v>
      </c>
      <c r="E18" s="87" t="s">
        <v>75</v>
      </c>
      <c r="F18" s="88" t="s">
        <v>76</v>
      </c>
      <c r="G18" s="87" t="s">
        <v>77</v>
      </c>
      <c r="H18" s="86" t="s">
        <v>78</v>
      </c>
      <c r="I18" s="89" t="s">
        <v>79</v>
      </c>
      <c r="J18" s="90" t="s">
        <v>80</v>
      </c>
      <c r="K18" s="87" t="s">
        <v>81</v>
      </c>
      <c r="L18" s="87" t="s">
        <v>82</v>
      </c>
      <c r="M18" s="91" t="s">
        <v>83</v>
      </c>
      <c r="N18" s="87" t="s">
        <v>84</v>
      </c>
      <c r="O18" s="92" t="s">
        <v>85</v>
      </c>
      <c r="P18" s="85" t="s">
        <v>86</v>
      </c>
      <c r="Q18" s="93" t="s">
        <v>87</v>
      </c>
      <c r="R18" s="94" t="s">
        <v>88</v>
      </c>
      <c r="S18" s="87" t="s">
        <v>89</v>
      </c>
      <c r="T18" s="86" t="s">
        <v>90</v>
      </c>
      <c r="U18" s="86" t="s">
        <v>91</v>
      </c>
      <c r="V18" s="95" t="s">
        <v>92</v>
      </c>
      <c r="W18" s="95" t="s">
        <v>93</v>
      </c>
      <c r="X18" s="96" t="s">
        <v>94</v>
      </c>
      <c r="Y18" s="96" t="s">
        <v>95</v>
      </c>
      <c r="Z18" s="97" t="s">
        <v>96</v>
      </c>
      <c r="AA18" s="96"/>
      <c r="AD18" s="98" t="s">
        <v>97</v>
      </c>
      <c r="AE18" s="99"/>
    </row>
    <row r="21" spans="1:38" s="32" customFormat="1" x14ac:dyDescent="0.2">
      <c r="A21" s="21"/>
      <c r="B21" s="22" t="s">
        <v>45</v>
      </c>
      <c r="C21" s="23"/>
      <c r="D21" s="26"/>
      <c r="E21" s="24"/>
      <c r="F21" s="25"/>
      <c r="G21" s="26"/>
      <c r="H21" s="27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>
        <f t="shared" ref="T21:T23" si="0">I21+J21+K21+L21+M21+N21+O21+Q21+R21+S21</f>
        <v>0</v>
      </c>
      <c r="U21" s="28">
        <f t="shared" ref="U21:U23" si="1">T21*E21</f>
        <v>0</v>
      </c>
      <c r="V21" s="29"/>
      <c r="W21" s="29"/>
      <c r="X21" s="26"/>
      <c r="Y21" s="26"/>
      <c r="Z21" s="30">
        <v>2</v>
      </c>
      <c r="AA21" s="31"/>
      <c r="AB21" s="31"/>
      <c r="AD21" s="33"/>
      <c r="AE21" s="31"/>
      <c r="AF21" s="31"/>
      <c r="AG21" s="33"/>
      <c r="AH21" s="33"/>
      <c r="AI21" s="31"/>
      <c r="AJ21" s="33"/>
      <c r="AK21" s="31"/>
      <c r="AL21" s="31"/>
    </row>
    <row r="22" spans="1:38" s="32" customFormat="1" ht="25.5" x14ac:dyDescent="0.2">
      <c r="A22" s="21"/>
      <c r="B22" s="22"/>
      <c r="C22" s="23" t="s">
        <v>46</v>
      </c>
      <c r="D22" s="26">
        <v>0.4</v>
      </c>
      <c r="E22" s="24">
        <v>0.4</v>
      </c>
      <c r="F22" s="25">
        <v>12</v>
      </c>
      <c r="G22" s="26">
        <v>5</v>
      </c>
      <c r="H22" s="27">
        <f>I22/$D$16</f>
        <v>48.339222614840985</v>
      </c>
      <c r="I22" s="25">
        <v>7980</v>
      </c>
      <c r="J22" s="26">
        <f>I22*0.04</f>
        <v>319.2</v>
      </c>
      <c r="K22" s="26"/>
      <c r="L22" s="26"/>
      <c r="M22" s="26"/>
      <c r="N22" s="26"/>
      <c r="O22" s="26"/>
      <c r="P22" s="26">
        <v>19</v>
      </c>
      <c r="Q22" s="26">
        <f t="shared" ref="Q22:Q23" si="2">(I22+J22+K22+N22+O22/1.5)*P22/100</f>
        <v>1576.8480000000002</v>
      </c>
      <c r="R22" s="26">
        <f t="shared" ref="R22:R23" si="3">(I22+J22+K22+L22+M22+N22+O22+Q22)*0.3</f>
        <v>2962.8144000000002</v>
      </c>
      <c r="S22" s="26">
        <f t="shared" ref="S22:S23" si="4">(I22+J22+K22+L22+M22+N22+O22+Q22)*0.3</f>
        <v>2962.8144000000002</v>
      </c>
      <c r="T22" s="26">
        <f t="shared" si="0"/>
        <v>15801.676800000001</v>
      </c>
      <c r="U22" s="28">
        <f>T22*E22</f>
        <v>6320.670720000001</v>
      </c>
      <c r="V22" s="29">
        <v>4</v>
      </c>
      <c r="W22" s="29">
        <v>4</v>
      </c>
      <c r="X22" s="26">
        <f t="shared" ref="X22:X23" si="5">(I22+J22+K22+M22+N22+O22)*E22</f>
        <v>3319.6800000000003</v>
      </c>
      <c r="Y22" s="26">
        <f>Q22*E22</f>
        <v>630.7392000000001</v>
      </c>
      <c r="Z22" s="30">
        <v>2</v>
      </c>
      <c r="AA22" s="31"/>
      <c r="AB22" s="31"/>
      <c r="AD22" s="33">
        <f t="shared" ref="AD22:AD23" si="6">IF(AF22=0,0,T22/AF22-1)</f>
        <v>0</v>
      </c>
      <c r="AE22" s="31"/>
      <c r="AF22" s="31"/>
      <c r="AG22" s="33"/>
      <c r="AH22" s="33"/>
      <c r="AI22" s="31"/>
      <c r="AJ22" s="33"/>
      <c r="AK22" s="31"/>
      <c r="AL22" s="31"/>
    </row>
    <row r="23" spans="1:38" s="32" customFormat="1" x14ac:dyDescent="0.2">
      <c r="A23" s="21"/>
      <c r="B23" s="22"/>
      <c r="C23" s="23" t="s">
        <v>98</v>
      </c>
      <c r="D23" s="26">
        <v>2</v>
      </c>
      <c r="E23" s="24">
        <v>2</v>
      </c>
      <c r="F23" s="25">
        <v>12</v>
      </c>
      <c r="G23" s="26">
        <v>2</v>
      </c>
      <c r="H23" s="27">
        <f>I23/$D$16</f>
        <v>30.275618374558302</v>
      </c>
      <c r="I23" s="25">
        <v>4998</v>
      </c>
      <c r="J23" s="26">
        <f>I23*0.04</f>
        <v>199.92000000000002</v>
      </c>
      <c r="K23" s="26"/>
      <c r="L23" s="26"/>
      <c r="M23" s="26"/>
      <c r="N23" s="26"/>
      <c r="O23" s="26"/>
      <c r="P23" s="26">
        <v>19</v>
      </c>
      <c r="Q23" s="26">
        <f t="shared" si="2"/>
        <v>987.60479999999995</v>
      </c>
      <c r="R23" s="26">
        <f t="shared" si="3"/>
        <v>1855.65744</v>
      </c>
      <c r="S23" s="26">
        <f t="shared" si="4"/>
        <v>1855.65744</v>
      </c>
      <c r="T23" s="26">
        <f t="shared" si="0"/>
        <v>9896.839680000001</v>
      </c>
      <c r="U23" s="28">
        <f t="shared" si="1"/>
        <v>19793.679360000002</v>
      </c>
      <c r="V23" s="29">
        <v>4</v>
      </c>
      <c r="W23" s="29">
        <v>8</v>
      </c>
      <c r="X23" s="26">
        <f t="shared" si="5"/>
        <v>10395.84</v>
      </c>
      <c r="Y23" s="26">
        <f>Q23*E23</f>
        <v>1975.2095999999999</v>
      </c>
      <c r="Z23" s="30">
        <v>2</v>
      </c>
      <c r="AA23" s="31"/>
      <c r="AB23" s="31"/>
      <c r="AD23" s="33">
        <f t="shared" si="6"/>
        <v>0</v>
      </c>
      <c r="AE23" s="31"/>
      <c r="AF23" s="31"/>
      <c r="AG23" s="33"/>
      <c r="AH23" s="33"/>
      <c r="AI23" s="31"/>
      <c r="AJ23" s="33"/>
      <c r="AK23" s="31"/>
      <c r="AL23" s="31"/>
    </row>
  </sheetData>
  <mergeCells count="11">
    <mergeCell ref="C15:J15"/>
    <mergeCell ref="K15:M15"/>
    <mergeCell ref="N15:O15"/>
    <mergeCell ref="C7:O7"/>
    <mergeCell ref="D8:O8"/>
    <mergeCell ref="D9:O9"/>
    <mergeCell ref="D11:O11"/>
    <mergeCell ref="D12:O12"/>
    <mergeCell ref="C14:J14"/>
    <mergeCell ref="K14:M14"/>
    <mergeCell ref="N14:O1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P21"/>
  <sheetViews>
    <sheetView topLeftCell="A2" workbookViewId="0">
      <pane xSplit="2" ySplit="10" topLeftCell="C12" activePane="bottomRight" state="frozen"/>
      <selection activeCell="A2" sqref="A2"/>
      <selection pane="topRight" activeCell="C2" sqref="C2"/>
      <selection pane="bottomLeft" activeCell="A12" sqref="A12"/>
      <selection pane="bottomRight" activeCell="C21" sqref="C21"/>
    </sheetView>
  </sheetViews>
  <sheetFormatPr defaultRowHeight="12.75" x14ac:dyDescent="0.2"/>
  <cols>
    <col min="2" max="2" width="16.85546875" customWidth="1"/>
    <col min="5" max="5" width="9" bestFit="1" customWidth="1"/>
    <col min="7" max="7" width="9" bestFit="1" customWidth="1"/>
    <col min="9" max="9" width="9" bestFit="1" customWidth="1"/>
    <col min="11" max="11" width="9" bestFit="1" customWidth="1"/>
    <col min="13" max="13" width="9" bestFit="1" customWidth="1"/>
    <col min="15" max="15" width="9" bestFit="1" customWidth="1"/>
    <col min="17" max="17" width="9" bestFit="1" customWidth="1"/>
    <col min="19" max="19" width="9" bestFit="1" customWidth="1"/>
    <col min="21" max="21" width="9" bestFit="1" customWidth="1"/>
    <col min="23" max="23" width="9" bestFit="1" customWidth="1"/>
    <col min="24" max="24" width="10.5703125" bestFit="1" customWidth="1"/>
  </cols>
  <sheetData>
    <row r="3" spans="1:23" ht="13.5" thickBot="1" x14ac:dyDescent="0.25"/>
    <row r="4" spans="1:23" x14ac:dyDescent="0.2">
      <c r="A4" s="100"/>
      <c r="B4" s="101"/>
      <c r="C4" s="101"/>
      <c r="D4" s="141" t="s">
        <v>99</v>
      </c>
      <c r="E4" s="142"/>
      <c r="F4" s="141" t="s">
        <v>100</v>
      </c>
      <c r="G4" s="142"/>
      <c r="H4" s="141" t="s">
        <v>101</v>
      </c>
      <c r="I4" s="142"/>
      <c r="J4" s="141" t="s">
        <v>102</v>
      </c>
      <c r="K4" s="142"/>
      <c r="L4" s="141" t="s">
        <v>103</v>
      </c>
      <c r="M4" s="142"/>
      <c r="N4" s="141" t="s">
        <v>104</v>
      </c>
      <c r="O4" s="142"/>
      <c r="P4" s="141" t="s">
        <v>105</v>
      </c>
      <c r="Q4" s="142"/>
      <c r="R4" s="141" t="s">
        <v>106</v>
      </c>
      <c r="S4" s="142"/>
      <c r="T4" s="141" t="s">
        <v>107</v>
      </c>
      <c r="U4" s="142"/>
      <c r="V4" s="141" t="s">
        <v>108</v>
      </c>
      <c r="W4" s="142"/>
    </row>
    <row r="5" spans="1:23" x14ac:dyDescent="0.2">
      <c r="A5" s="102" t="s">
        <v>109</v>
      </c>
      <c r="B5" s="103" t="s">
        <v>110</v>
      </c>
      <c r="C5" s="103" t="s">
        <v>111</v>
      </c>
      <c r="D5" s="143"/>
      <c r="E5" s="144"/>
      <c r="F5" s="143"/>
      <c r="G5" s="144"/>
      <c r="H5" s="143"/>
      <c r="I5" s="144"/>
      <c r="J5" s="143"/>
      <c r="K5" s="144"/>
      <c r="L5" s="143"/>
      <c r="M5" s="144"/>
      <c r="N5" s="143"/>
      <c r="O5" s="144"/>
      <c r="P5" s="143"/>
      <c r="Q5" s="144"/>
      <c r="R5" s="143"/>
      <c r="S5" s="144"/>
      <c r="T5" s="143"/>
      <c r="U5" s="144"/>
      <c r="V5" s="143"/>
      <c r="W5" s="144"/>
    </row>
    <row r="6" spans="1:23" x14ac:dyDescent="0.2">
      <c r="A6" s="102"/>
      <c r="B6" s="103" t="s">
        <v>112</v>
      </c>
      <c r="C6" s="103" t="s">
        <v>113</v>
      </c>
      <c r="D6" s="143"/>
      <c r="E6" s="144"/>
      <c r="F6" s="143"/>
      <c r="G6" s="144"/>
      <c r="H6" s="143"/>
      <c r="I6" s="144"/>
      <c r="J6" s="143"/>
      <c r="K6" s="144"/>
      <c r="L6" s="143"/>
      <c r="M6" s="144"/>
      <c r="N6" s="143"/>
      <c r="O6" s="144"/>
      <c r="P6" s="143"/>
      <c r="Q6" s="144"/>
      <c r="R6" s="143"/>
      <c r="S6" s="144"/>
      <c r="T6" s="143"/>
      <c r="U6" s="144"/>
      <c r="V6" s="143"/>
      <c r="W6" s="144"/>
    </row>
    <row r="7" spans="1:23" x14ac:dyDescent="0.2">
      <c r="A7" s="102"/>
      <c r="B7" s="103"/>
      <c r="C7" s="103" t="s">
        <v>114</v>
      </c>
      <c r="D7" s="143"/>
      <c r="E7" s="144"/>
      <c r="F7" s="143"/>
      <c r="G7" s="144"/>
      <c r="H7" s="143"/>
      <c r="I7" s="144"/>
      <c r="J7" s="143"/>
      <c r="K7" s="144"/>
      <c r="L7" s="143"/>
      <c r="M7" s="144"/>
      <c r="N7" s="143"/>
      <c r="O7" s="144"/>
      <c r="P7" s="143"/>
      <c r="Q7" s="144"/>
      <c r="R7" s="143"/>
      <c r="S7" s="144"/>
      <c r="T7" s="143"/>
      <c r="U7" s="144"/>
      <c r="V7" s="143"/>
      <c r="W7" s="144"/>
    </row>
    <row r="8" spans="1:23" ht="13.5" thickBot="1" x14ac:dyDescent="0.25">
      <c r="A8" s="102"/>
      <c r="B8" s="103"/>
      <c r="C8" s="103" t="s">
        <v>115</v>
      </c>
      <c r="D8" s="145"/>
      <c r="E8" s="146"/>
      <c r="F8" s="145"/>
      <c r="G8" s="146"/>
      <c r="H8" s="145"/>
      <c r="I8" s="146"/>
      <c r="J8" s="145"/>
      <c r="K8" s="146"/>
      <c r="L8" s="145"/>
      <c r="M8" s="146"/>
      <c r="N8" s="145"/>
      <c r="O8" s="146"/>
      <c r="P8" s="145"/>
      <c r="Q8" s="146"/>
      <c r="R8" s="145"/>
      <c r="S8" s="146"/>
      <c r="T8" s="145"/>
      <c r="U8" s="146"/>
      <c r="V8" s="145"/>
      <c r="W8" s="146"/>
    </row>
    <row r="9" spans="1:23" x14ac:dyDescent="0.2">
      <c r="A9" s="102"/>
      <c r="B9" s="104"/>
      <c r="C9" s="104"/>
      <c r="D9" s="103" t="s">
        <v>116</v>
      </c>
      <c r="E9" s="139" t="s">
        <v>117</v>
      </c>
      <c r="F9" s="139" t="s">
        <v>118</v>
      </c>
      <c r="G9" s="139" t="s">
        <v>117</v>
      </c>
      <c r="H9" s="103" t="s">
        <v>116</v>
      </c>
      <c r="I9" s="139" t="s">
        <v>117</v>
      </c>
      <c r="J9" s="103" t="s">
        <v>116</v>
      </c>
      <c r="K9" s="139" t="s">
        <v>119</v>
      </c>
      <c r="L9" s="103" t="s">
        <v>116</v>
      </c>
      <c r="M9" s="139" t="s">
        <v>117</v>
      </c>
      <c r="N9" s="103" t="s">
        <v>116</v>
      </c>
      <c r="O9" s="139" t="s">
        <v>117</v>
      </c>
      <c r="P9" s="103" t="s">
        <v>116</v>
      </c>
      <c r="Q9" s="139" t="s">
        <v>117</v>
      </c>
      <c r="R9" s="103" t="s">
        <v>116</v>
      </c>
      <c r="S9" s="139" t="s">
        <v>117</v>
      </c>
      <c r="T9" s="103" t="s">
        <v>116</v>
      </c>
      <c r="U9" s="139" t="s">
        <v>117</v>
      </c>
      <c r="V9" s="103" t="s">
        <v>116</v>
      </c>
      <c r="W9" s="139" t="s">
        <v>117</v>
      </c>
    </row>
    <row r="10" spans="1:23" x14ac:dyDescent="0.2">
      <c r="A10" s="105"/>
      <c r="B10" s="104"/>
      <c r="C10" s="104"/>
      <c r="D10" s="103" t="s">
        <v>120</v>
      </c>
      <c r="E10" s="140"/>
      <c r="F10" s="140"/>
      <c r="G10" s="140"/>
      <c r="H10" s="103" t="s">
        <v>120</v>
      </c>
      <c r="I10" s="140"/>
      <c r="J10" s="103" t="s">
        <v>120</v>
      </c>
      <c r="K10" s="140"/>
      <c r="L10" s="103" t="s">
        <v>120</v>
      </c>
      <c r="M10" s="140"/>
      <c r="N10" s="103" t="s">
        <v>120</v>
      </c>
      <c r="O10" s="140"/>
      <c r="P10" s="103" t="s">
        <v>120</v>
      </c>
      <c r="Q10" s="140"/>
      <c r="R10" s="103" t="s">
        <v>120</v>
      </c>
      <c r="S10" s="140"/>
      <c r="T10" s="103" t="s">
        <v>120</v>
      </c>
      <c r="U10" s="140"/>
      <c r="V10" s="103" t="s">
        <v>120</v>
      </c>
      <c r="W10" s="140"/>
    </row>
    <row r="11" spans="1:23" x14ac:dyDescent="0.2">
      <c r="A11" s="105"/>
      <c r="B11" s="104"/>
      <c r="C11" s="104"/>
      <c r="D11" s="103" t="s">
        <v>121</v>
      </c>
      <c r="E11" s="140"/>
      <c r="F11" s="140"/>
      <c r="G11" s="140"/>
      <c r="H11" s="103" t="s">
        <v>121</v>
      </c>
      <c r="I11" s="140"/>
      <c r="J11" s="103" t="s">
        <v>121</v>
      </c>
      <c r="K11" s="140"/>
      <c r="L11" s="103" t="s">
        <v>121</v>
      </c>
      <c r="M11" s="140"/>
      <c r="N11" s="103" t="s">
        <v>121</v>
      </c>
      <c r="O11" s="140"/>
      <c r="P11" s="103" t="s">
        <v>121</v>
      </c>
      <c r="Q11" s="140"/>
      <c r="R11" s="103" t="s">
        <v>121</v>
      </c>
      <c r="S11" s="140"/>
      <c r="T11" s="103" t="s">
        <v>121</v>
      </c>
      <c r="U11" s="140"/>
      <c r="V11" s="103" t="s">
        <v>121</v>
      </c>
      <c r="W11" s="140"/>
    </row>
    <row r="12" spans="1:23" x14ac:dyDescent="0.2">
      <c r="A12" s="106">
        <v>1</v>
      </c>
      <c r="B12" s="107" t="s">
        <v>122</v>
      </c>
      <c r="C12" s="108">
        <f>[1]Штатка!D47</f>
        <v>0</v>
      </c>
      <c r="D12" s="109">
        <v>12</v>
      </c>
      <c r="E12" s="109">
        <f t="shared" ref="E12:E18" si="0">12/D12*$C12</f>
        <v>0</v>
      </c>
      <c r="F12" s="109">
        <v>12</v>
      </c>
      <c r="G12" s="109">
        <f>12/F12*$C12</f>
        <v>0</v>
      </c>
      <c r="H12" s="109">
        <v>12</v>
      </c>
      <c r="I12" s="109">
        <f>12/H12*$C12</f>
        <v>0</v>
      </c>
      <c r="J12" s="109">
        <v>12</v>
      </c>
      <c r="K12" s="109"/>
      <c r="L12" s="109">
        <v>12</v>
      </c>
      <c r="M12" s="109"/>
      <c r="N12" s="109"/>
      <c r="O12" s="109"/>
      <c r="P12" s="109">
        <v>1</v>
      </c>
      <c r="Q12" s="109">
        <f>12/P12*$C12</f>
        <v>0</v>
      </c>
      <c r="R12" s="109">
        <v>30</v>
      </c>
      <c r="S12" s="109">
        <f>12/R12*$C12</f>
        <v>0</v>
      </c>
      <c r="T12" s="109">
        <v>30</v>
      </c>
      <c r="U12" s="109">
        <f>12/T12*$C12</f>
        <v>0</v>
      </c>
      <c r="V12" s="109">
        <v>36</v>
      </c>
      <c r="W12" s="109">
        <f>12/V12*$C12</f>
        <v>0</v>
      </c>
    </row>
    <row r="13" spans="1:23" ht="24" x14ac:dyDescent="0.2">
      <c r="A13" s="106">
        <v>2</v>
      </c>
      <c r="B13" s="107" t="s">
        <v>123</v>
      </c>
      <c r="C13" s="110">
        <f>ШР!E23</f>
        <v>2</v>
      </c>
      <c r="D13" s="109">
        <v>12</v>
      </c>
      <c r="E13" s="109">
        <f t="shared" si="0"/>
        <v>2</v>
      </c>
      <c r="F13" s="109">
        <v>12</v>
      </c>
      <c r="G13" s="109"/>
      <c r="H13" s="109">
        <v>12</v>
      </c>
      <c r="I13" s="109"/>
      <c r="J13" s="109">
        <v>12</v>
      </c>
      <c r="K13" s="109"/>
      <c r="L13" s="109">
        <v>12</v>
      </c>
      <c r="M13" s="109">
        <f>12/L13*$C13</f>
        <v>2</v>
      </c>
      <c r="N13" s="109">
        <v>2</v>
      </c>
      <c r="O13" s="109">
        <f t="shared" ref="O13:O18" si="1">12/N13*$C13</f>
        <v>12</v>
      </c>
      <c r="P13" s="109">
        <v>1</v>
      </c>
      <c r="Q13" s="109"/>
      <c r="R13" s="109">
        <v>30</v>
      </c>
      <c r="S13" s="109"/>
      <c r="T13" s="109">
        <v>30</v>
      </c>
      <c r="U13" s="109"/>
      <c r="V13" s="109">
        <v>36</v>
      </c>
      <c r="W13" s="109"/>
    </row>
    <row r="14" spans="1:23" x14ac:dyDescent="0.2">
      <c r="A14" s="106">
        <v>3</v>
      </c>
      <c r="B14" s="107" t="s">
        <v>124</v>
      </c>
      <c r="C14" s="110">
        <f>[1]Штатка!D46</f>
        <v>0</v>
      </c>
      <c r="D14" s="109">
        <v>12</v>
      </c>
      <c r="E14" s="109">
        <f t="shared" si="0"/>
        <v>0</v>
      </c>
      <c r="F14" s="109">
        <v>12</v>
      </c>
      <c r="G14" s="109"/>
      <c r="H14" s="109">
        <v>12</v>
      </c>
      <c r="I14" s="109"/>
      <c r="J14" s="109">
        <v>12</v>
      </c>
      <c r="K14" s="109"/>
      <c r="L14" s="109">
        <v>12</v>
      </c>
      <c r="M14" s="109">
        <f>12/L14*$C14</f>
        <v>0</v>
      </c>
      <c r="N14" s="109">
        <v>3</v>
      </c>
      <c r="O14" s="109">
        <f t="shared" si="1"/>
        <v>0</v>
      </c>
      <c r="P14" s="109">
        <v>1</v>
      </c>
      <c r="Q14" s="109"/>
      <c r="R14" s="109">
        <v>30</v>
      </c>
      <c r="S14" s="109">
        <f>12/R14*$C14</f>
        <v>0</v>
      </c>
      <c r="T14" s="109">
        <v>30</v>
      </c>
      <c r="U14" s="109">
        <f>12/T14*$C14</f>
        <v>0</v>
      </c>
      <c r="V14" s="109">
        <v>36</v>
      </c>
      <c r="W14" s="109">
        <f>12/V14*$C14</f>
        <v>0</v>
      </c>
    </row>
    <row r="15" spans="1:23" x14ac:dyDescent="0.2">
      <c r="A15" s="106">
        <v>4</v>
      </c>
      <c r="B15" s="107" t="s">
        <v>125</v>
      </c>
      <c r="C15" s="110">
        <f>[1]Штатка!D44</f>
        <v>0</v>
      </c>
      <c r="D15" s="109">
        <v>12</v>
      </c>
      <c r="E15" s="109">
        <f t="shared" si="0"/>
        <v>0</v>
      </c>
      <c r="F15" s="109">
        <v>12</v>
      </c>
      <c r="G15" s="109"/>
      <c r="H15" s="109">
        <v>12</v>
      </c>
      <c r="I15" s="109"/>
      <c r="J15" s="109">
        <v>12</v>
      </c>
      <c r="K15" s="109">
        <f>12/J15*$C15</f>
        <v>0</v>
      </c>
      <c r="L15" s="109">
        <v>12</v>
      </c>
      <c r="M15" s="109"/>
      <c r="N15" s="109">
        <v>2</v>
      </c>
      <c r="O15" s="109">
        <f t="shared" si="1"/>
        <v>0</v>
      </c>
      <c r="P15" s="109">
        <v>1</v>
      </c>
      <c r="Q15" s="109"/>
      <c r="R15" s="109">
        <v>30</v>
      </c>
      <c r="S15" s="109">
        <f>12/R15*$C15</f>
        <v>0</v>
      </c>
      <c r="T15" s="109">
        <v>30</v>
      </c>
      <c r="U15" s="109">
        <f>12/T15*$C15</f>
        <v>0</v>
      </c>
      <c r="V15" s="109">
        <v>36</v>
      </c>
      <c r="W15" s="109">
        <f>12/V15*$C15</f>
        <v>0</v>
      </c>
    </row>
    <row r="16" spans="1:23" x14ac:dyDescent="0.2">
      <c r="A16" s="106">
        <v>5</v>
      </c>
      <c r="B16" s="107" t="s">
        <v>126</v>
      </c>
      <c r="C16" s="110">
        <f>ШР!E22</f>
        <v>0.4</v>
      </c>
      <c r="D16" s="109">
        <v>12</v>
      </c>
      <c r="E16" s="109">
        <f t="shared" si="0"/>
        <v>0.4</v>
      </c>
      <c r="F16" s="109">
        <v>12</v>
      </c>
      <c r="G16" s="109"/>
      <c r="H16" s="109">
        <v>12</v>
      </c>
      <c r="I16" s="109"/>
      <c r="J16" s="109">
        <v>12</v>
      </c>
      <c r="K16" s="109">
        <f>12/J16*$C16</f>
        <v>0.4</v>
      </c>
      <c r="L16" s="109">
        <v>12</v>
      </c>
      <c r="M16" s="109"/>
      <c r="N16" s="109">
        <v>2</v>
      </c>
      <c r="O16" s="109">
        <f t="shared" si="1"/>
        <v>2.4000000000000004</v>
      </c>
      <c r="P16" s="109">
        <v>1</v>
      </c>
      <c r="Q16" s="109"/>
      <c r="R16" s="109">
        <v>30</v>
      </c>
      <c r="S16" s="109">
        <f>12/R16*$C16</f>
        <v>0.16000000000000003</v>
      </c>
      <c r="T16" s="109">
        <v>30</v>
      </c>
      <c r="U16" s="109">
        <f>12/T16*$C16</f>
        <v>0.16000000000000003</v>
      </c>
      <c r="V16" s="109">
        <v>36</v>
      </c>
      <c r="W16" s="109">
        <f>12/V16*$C16</f>
        <v>0.13333333333333333</v>
      </c>
    </row>
    <row r="17" spans="1:250" x14ac:dyDescent="0.2">
      <c r="A17" s="106">
        <v>6</v>
      </c>
      <c r="B17" s="107" t="s">
        <v>127</v>
      </c>
      <c r="C17" s="108">
        <f>[1]Штатка!D48</f>
        <v>0</v>
      </c>
      <c r="D17" s="109">
        <v>12</v>
      </c>
      <c r="E17" s="109">
        <f t="shared" si="0"/>
        <v>0</v>
      </c>
      <c r="F17" s="109">
        <v>12</v>
      </c>
      <c r="G17" s="109"/>
      <c r="H17" s="109">
        <v>12</v>
      </c>
      <c r="I17" s="109"/>
      <c r="J17" s="109">
        <v>12</v>
      </c>
      <c r="K17" s="109"/>
      <c r="L17" s="109">
        <v>12</v>
      </c>
      <c r="M17" s="109"/>
      <c r="N17" s="109">
        <v>1</v>
      </c>
      <c r="O17" s="109">
        <f t="shared" si="1"/>
        <v>0</v>
      </c>
      <c r="P17" s="109">
        <v>1</v>
      </c>
      <c r="Q17" s="109"/>
      <c r="R17" s="109">
        <v>30</v>
      </c>
      <c r="S17" s="109"/>
      <c r="T17" s="109">
        <v>30</v>
      </c>
      <c r="U17" s="109"/>
      <c r="V17" s="109">
        <v>36</v>
      </c>
      <c r="W17" s="109"/>
    </row>
    <row r="18" spans="1:250" x14ac:dyDescent="0.2">
      <c r="A18" s="106">
        <v>7</v>
      </c>
      <c r="B18" s="107" t="s">
        <v>128</v>
      </c>
      <c r="C18" s="111">
        <f>[1]Штатка!D49</f>
        <v>0</v>
      </c>
      <c r="D18" s="109">
        <v>12</v>
      </c>
      <c r="E18" s="109">
        <f t="shared" si="0"/>
        <v>0</v>
      </c>
      <c r="F18" s="109">
        <v>12</v>
      </c>
      <c r="G18" s="109"/>
      <c r="H18" s="109">
        <v>12</v>
      </c>
      <c r="I18" s="109">
        <f>12/H18*$C18</f>
        <v>0</v>
      </c>
      <c r="J18" s="109">
        <v>12</v>
      </c>
      <c r="K18" s="109"/>
      <c r="L18" s="109">
        <v>12</v>
      </c>
      <c r="M18" s="109"/>
      <c r="N18" s="109">
        <v>2</v>
      </c>
      <c r="O18" s="109">
        <f t="shared" si="1"/>
        <v>0</v>
      </c>
      <c r="P18" s="109">
        <v>1</v>
      </c>
      <c r="Q18" s="109"/>
      <c r="R18" s="109">
        <v>30</v>
      </c>
      <c r="S18" s="109"/>
      <c r="T18" s="109">
        <v>30</v>
      </c>
      <c r="U18" s="109"/>
      <c r="V18" s="109">
        <v>36</v>
      </c>
      <c r="W18" s="109"/>
    </row>
    <row r="19" spans="1:250" ht="13.5" thickBot="1" x14ac:dyDescent="0.25">
      <c r="A19" s="112"/>
      <c r="B19" s="113" t="s">
        <v>129</v>
      </c>
      <c r="C19" s="114">
        <f>SUM(C12:C18)</f>
        <v>2.4</v>
      </c>
      <c r="D19" s="115"/>
      <c r="E19" s="116">
        <f>SUM(E12:E18)</f>
        <v>2.4</v>
      </c>
      <c r="F19" s="115"/>
      <c r="G19" s="115">
        <f>SUM(G12:G18)</f>
        <v>0</v>
      </c>
      <c r="H19" s="115"/>
      <c r="I19" s="115">
        <f>SUM(I12:I18)</f>
        <v>0</v>
      </c>
      <c r="J19" s="115"/>
      <c r="K19" s="115">
        <f>SUM(K12:K18)</f>
        <v>0.4</v>
      </c>
      <c r="L19" s="115"/>
      <c r="M19" s="115">
        <f>SUM(M12:M18)</f>
        <v>2</v>
      </c>
      <c r="N19" s="115"/>
      <c r="O19" s="115">
        <f>SUM(O12:O18)</f>
        <v>14.4</v>
      </c>
      <c r="P19" s="115"/>
      <c r="Q19" s="115">
        <f>SUM(Q12:Q18)</f>
        <v>0</v>
      </c>
      <c r="R19" s="115"/>
      <c r="S19" s="115">
        <f>SUM(S12:S18)</f>
        <v>0.16000000000000003</v>
      </c>
      <c r="T19" s="115"/>
      <c r="U19" s="115">
        <f>SUM(U12:U18)</f>
        <v>0.16000000000000003</v>
      </c>
      <c r="V19" s="115"/>
      <c r="W19" s="117">
        <f>SUM(W12:W18)</f>
        <v>0.13333333333333333</v>
      </c>
    </row>
    <row r="20" spans="1:250" ht="13.5" thickBot="1" x14ac:dyDescent="0.25">
      <c r="A20" s="112"/>
      <c r="B20" s="113" t="s">
        <v>130</v>
      </c>
      <c r="C20" s="118"/>
      <c r="D20" s="118"/>
      <c r="E20" s="7">
        <v>600</v>
      </c>
      <c r="F20" s="118"/>
      <c r="G20" s="7">
        <v>2000</v>
      </c>
      <c r="H20" s="118"/>
      <c r="I20" s="7">
        <v>550</v>
      </c>
      <c r="J20" s="118"/>
      <c r="K20" s="7">
        <v>550</v>
      </c>
      <c r="L20" s="118"/>
      <c r="M20" s="7">
        <v>330</v>
      </c>
      <c r="N20" s="118"/>
      <c r="O20" s="7">
        <v>25</v>
      </c>
      <c r="P20" s="118"/>
      <c r="Q20" s="7">
        <v>110</v>
      </c>
      <c r="R20" s="118"/>
      <c r="S20" s="7">
        <v>900</v>
      </c>
      <c r="T20" s="118"/>
      <c r="U20" s="7">
        <v>900</v>
      </c>
      <c r="V20" s="118"/>
      <c r="W20" s="7">
        <v>800</v>
      </c>
    </row>
    <row r="21" spans="1:250" ht="13.5" thickBot="1" x14ac:dyDescent="0.25">
      <c r="A21" s="112"/>
      <c r="B21" s="119" t="s">
        <v>131</v>
      </c>
      <c r="C21" s="120">
        <f>E21+G21+I21+K21+M21+O21+Q21+S21+U21+W21</f>
        <v>3.0746666666666664</v>
      </c>
      <c r="D21" s="121"/>
      <c r="E21" s="120">
        <f>E19*E20/1000</f>
        <v>1.44</v>
      </c>
      <c r="F21" s="120"/>
      <c r="G21" s="120">
        <f>G19*G20/1000</f>
        <v>0</v>
      </c>
      <c r="H21" s="120"/>
      <c r="I21" s="120">
        <f>I19*I20/1000</f>
        <v>0</v>
      </c>
      <c r="J21" s="120"/>
      <c r="K21" s="120">
        <f>K19*K20/1000</f>
        <v>0.22</v>
      </c>
      <c r="L21" s="120"/>
      <c r="M21" s="120">
        <f>M19*M20/1000</f>
        <v>0.66</v>
      </c>
      <c r="N21" s="120"/>
      <c r="O21" s="120">
        <f>O19*O20/1000</f>
        <v>0.36</v>
      </c>
      <c r="P21" s="120"/>
      <c r="Q21" s="120">
        <f>Q19*Q20/1000</f>
        <v>0</v>
      </c>
      <c r="R21" s="120"/>
      <c r="S21" s="120">
        <f>S19*S20/1000</f>
        <v>0.14400000000000002</v>
      </c>
      <c r="T21" s="120"/>
      <c r="U21" s="120">
        <f>U19*U20/1000</f>
        <v>0.14400000000000002</v>
      </c>
      <c r="V21" s="120"/>
      <c r="W21" s="122">
        <f>W19*W20/1000</f>
        <v>0.10666666666666667</v>
      </c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</row>
  </sheetData>
  <mergeCells count="21">
    <mergeCell ref="P4:Q8"/>
    <mergeCell ref="R4:S8"/>
    <mergeCell ref="T4:U8"/>
    <mergeCell ref="V4:W8"/>
    <mergeCell ref="E9:E11"/>
    <mergeCell ref="F9:F11"/>
    <mergeCell ref="G9:G11"/>
    <mergeCell ref="I9:I11"/>
    <mergeCell ref="K9:K11"/>
    <mergeCell ref="M9:M11"/>
    <mergeCell ref="D4:E8"/>
    <mergeCell ref="F4:G8"/>
    <mergeCell ref="H4:I8"/>
    <mergeCell ref="J4:K8"/>
    <mergeCell ref="L4:M8"/>
    <mergeCell ref="N4:O8"/>
    <mergeCell ref="O9:O11"/>
    <mergeCell ref="Q9:Q11"/>
    <mergeCell ref="S9:S11"/>
    <mergeCell ref="U9:U11"/>
    <mergeCell ref="W9:W1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Калькуляция</vt:lpstr>
      <vt:lpstr>ШР</vt:lpstr>
      <vt:lpstr>Спец.одежда</vt:lpstr>
      <vt:lpstr>Калькуляция!Область_печати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Елена Викторовна Долматова</cp:lastModifiedBy>
  <cp:lastPrinted>2012-05-23T03:26:35Z</cp:lastPrinted>
  <dcterms:created xsi:type="dcterms:W3CDTF">2012-05-03T05:07:16Z</dcterms:created>
  <dcterms:modified xsi:type="dcterms:W3CDTF">2012-07-02T23:36:07Z</dcterms:modified>
</cp:coreProperties>
</file>